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WW_Daten\Shared_Service\Marktkommunikation\SAP_EDM\Gas\SLP_Ausprägung\"/>
    </mc:Choice>
  </mc:AlternateContent>
  <bookViews>
    <workbookView xWindow="0" yWindow="0" windowWidth="25200" windowHeight="1138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<sst xmlns="http://schemas.openxmlformats.org/spreadsheetml/2006/main" count="1400" uniqueCount="677">
  <si>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</si>
  <si>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</si>
  <si>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</si>
  <si>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</si>
  <si>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</si>
  <si>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</si>
  <si>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</si>
  <si>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</si>
  <si>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</si>
  <si>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</si>
  <si>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</si>
  <si>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</si>
  <si>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</si>
  <si>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</si>
  <si>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</si>
  <si>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</si>
  <si>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</si>
  <si>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</si>
  <si>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</si>
  <si>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</si>
  <si>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</si>
  <si>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</si>
  <si>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</si>
  <si>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</si>
  <si>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</si>
  <si>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</si>
  <si>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</si>
  <si>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</si>
  <si>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</si>
  <si>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</si>
  <si>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</si>
  <si>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</si>
  <si>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</si>
  <si>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</si>
  <si>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</si>
  <si>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</si>
  <si>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</si>
  <si>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</si>
  <si>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</si>
  <si>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</si>
  <si>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</si>
  <si>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</si>
  <si>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</si>
  <si>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</si>
  <si>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</si>
  <si>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</si>
  <si>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</si>
  <si>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</si>
  <si>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</si>
  <si>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</si>
  <si>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</si>
  <si>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</si>
  <si>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</si>
  <si>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</si>
  <si>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</si>
  <si>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</si>
  <si>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</si>
  <si>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</si>
  <si>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</si>
  <si>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</si>
  <si>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</si>
  <si>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</si>
  <si>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</si>
  <si>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</si>
  <si>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</si>
  <si>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</si>
  <si>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</si>
  <si>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</si>
  <si>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</si>
  <si>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</si>
  <si>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</si>
  <si>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</si>
  <si>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</si>
  <si>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</si>
  <si>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</si>
  <si>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</si>
  <si>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</si>
  <si>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</si>
  <si>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</si>
  <si>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</si>
  <si>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</si>
  <si>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</si>
  <si>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</si>
  <si>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</si>
  <si>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</si>
  <si>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</si>
  <si>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</si>
  <si>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</si>
  <si>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</si>
  <si>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</si>
  <si>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</si>
  <si>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</si>
  <si>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</si>
  <si>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</si>
  <si>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</si>
  <si>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</si>
  <si>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</si>
  <si>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</si>
  <si>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</si>
  <si>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</si>
  <si>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</si>
  <si>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</si>
  <si>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</si>
  <si>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</si>
  <si>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</si>
  <si>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</si>
  <si>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</si>
  <si>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</si>
  <si>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</si>
  <si>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</si>
  <si>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</si>
  <si>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</si>
  <si>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</si>
  <si>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</si>
  <si>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</si>
  <si>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</si>
  <si>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</si>
  <si>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</si>
  <si>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</si>
  <si>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</si>
  <si>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</si>
  <si>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</si>
  <si>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</si>
  <si>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</si>
  <si>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</si>
  <si>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</si>
  <si>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</si>
  <si>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</si>
  <si>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</si>
  <si>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</si>
  <si>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</si>
  <si>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</si>
  <si>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</si>
  <si>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</si>
  <si>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</si>
  <si>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</si>
  <si>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</si>
  <si>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</si>
  <si>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</si>
  <si>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</si>
  <si>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</si>
  <si>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</si>
  <si>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</si>
  <si>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</si>
  <si>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</si>
  <si>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</si>
  <si>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</si>
  <si>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</si>
  <si>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</si>
  <si>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</si>
  <si>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</si>
  <si>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</si>
  <si>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</si>
  <si>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</si>
  <si>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</si>
  <si>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</si>
  <si>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</si>
  <si>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</si>
  <si>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</si>
  <si>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</si>
  <si>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</si>
  <si>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</si>
  <si>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</si>
  <si>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</si>
  <si>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</si>
  <si>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</si>
  <si>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</si>
  <si>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</si>
  <si>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</si>
  <si>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</si>
  <si>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</si>
  <si>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</si>
  <si>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</si>
  <si>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</si>
  <si>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</si>
  <si>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</si>
  <si>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</si>
  <si>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</si>
  <si>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</si>
  <si>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</si>
  <si>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</si>
  <si>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</si>
  <si>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</si>
  <si>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</si>
  <si>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</si>
  <si>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</si>
  <si>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</si>
  <si>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</si>
  <si>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</si>
  <si>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</si>
  <si>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</si>
  <si>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</si>
  <si>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</si>
  <si>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</si>
  <si>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</si>
  <si>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</si>
  <si>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</si>
  <si>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</si>
  <si>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</si>
  <si>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</si>
  <si>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</si>
  <si>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</si>
  <si>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</si>
  <si>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</si>
  <si>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</si>
  <si>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</si>
  <si>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</si>
  <si>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</si>
  <si>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</si>
  <si>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</si>
  <si>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</si>
  <si>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</si>
  <si>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</si>
  <si>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</si>
  <si>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</si>
  <si>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</si>
  <si>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</si>
  <si>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</si>
  <si>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</si>
  <si>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</si>
  <si>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</si>
  <si>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</si>
  <si>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</si>
  <si>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</si>
  <si>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</si>
  <si>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</si>
  <si>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</si>
  <si>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</si>
  <si>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</si>
  <si>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</si>
  <si>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</si>
  <si>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</si>
  <si>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</si>
  <si>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</si>
  <si>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</si>
  <si>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</si>
  <si>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</si>
  <si>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</si>
  <si>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</si>
  <si>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</si>
  <si>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</si>
  <si>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</si>
  <si>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</si>
  <si>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</si>
  <si>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</si>
  <si>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</si>
  <si>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</si>
  <si>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</si>
  <si>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</si>
  <si>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</si>
  <si>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</si>
  <si>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</si>
  <si>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</si>
  <si>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</si>
  <si>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</si>
  <si>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</si>
  <si>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</si>
  <si>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</si>
  <si>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</si>
  <si>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</si>
  <si>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</si>
  <si>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</si>
  <si>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</si>
  <si>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</si>
  <si>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</si>
  <si>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</si>
  <si>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</si>
  <si>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</si>
  <si>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</si>
  <si>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</si>
  <si>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</si>
  <si>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</si>
  <si>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</si>
  <si>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</si>
  <si>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</si>
  <si>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</si>
  <si>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</si>
  <si>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</si>
  <si>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</si>
  <si>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</si>
  <si>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</si>
  <si>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</si>
  <si>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</si>
  <si>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</si>
  <si>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</si>
  <si>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</si>
  <si>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</si>
  <si>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</si>
  <si>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</si>
  <si>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</si>
  <si>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</si>
  <si>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</si>
  <si>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</si>
  <si>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</si>
  <si>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</si>
  <si>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</si>
  <si>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</si>
  <si>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</si>
  <si>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</si>
  <si>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</si>
  <si>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</si>
  <si>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</si>
  <si>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</si>
  <si>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</si>
  <si>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</si>
  <si>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</si>
  <si>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</si>
  <si>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</si>
  <si>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</si>
  <si>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</si>
  <si>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</si>
  <si>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</si>
  <si>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</si>
  <si>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</si>
  <si>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</si>
  <si>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</si>
  <si>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</si>
  <si>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</si>
  <si>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</si>
  <si>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</si>
  <si>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</si>
  <si>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</si>
  <si>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</si>
  <si>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</si>
  <si>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</si>
  <si>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</si>
  <si>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</si>
  <si>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</si>
  <si>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</si>
  <si>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</si>
  <si>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</si>
  <si>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</si>
  <si>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</si>
  <si>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</si>
  <si>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</si>
  <si>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</si>
  <si>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</si>
  <si>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</si>
  <si>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</si>
  <si>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</si>
  <si>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</si>
  <si>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</si>
  <si>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</si>
  <si>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</si>
  <si>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</si>
  <si>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</si>
  <si>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</si>
  <si>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</si>
  <si>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</si>
  <si>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</si>
  <si>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</si>
  <si>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</si>
  <si>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</si>
  <si>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</si>
  <si>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</si>
  <si>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</si>
  <si>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</si>
  <si>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</si>
  <si>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</si>
  <si>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</si>
  <si>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</si>
  <si>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</si>
  <si>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</si>
  <si>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</si>
  <si>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</si>
  <si>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</si>
  <si>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</si>
  <si>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</si>
  <si>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</si>
  <si>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</si>
  <si>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</si>
  <si>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</si>
  <si>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</si>
  <si>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</si>
  <si>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</si>
  <si>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</si>
  <si>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</si>
  <si>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</si>
  <si>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</si>
  <si>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</si>
  <si>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</si>
  <si>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</si>
  <si>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</si>
  <si>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</si>
  <si>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</si>
  <si>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</si>
  <si>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</si>
  <si>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</si>
  <si>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</si>
  <si>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</si>
  <si>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</si>
  <si>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</si>
  <si>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</si>
  <si>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</si>
  <si>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</si>
  <si>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</si>
  <si>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</si>
  <si>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</si>
  <si>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</si>
  <si>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</si>
  <si>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</si>
  <si>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</si>
  <si>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</si>
  <si>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</si>
  <si>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</si>
  <si>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</si>
  <si>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</si>
  <si>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</si>
  <si>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</si>
  <si>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</si>
  <si>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</si>
  <si>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</si>
  <si>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</si>
  <si>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</si>
  <si>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</si>
  <si>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</si>
  <si>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</si>
  <si>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</si>
  <si>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</si>
  <si>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</si>
  <si>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</si>
  <si>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</si>
  <si>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</si>
  <si>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</si>
  <si>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</si>
  <si>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</si>
  <si>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</si>
  <si>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</si>
  <si>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</si>
  <si>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</si>
  <si>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</si>
  <si>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</si>
  <si>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</si>
  <si>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</si>
  <si>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</si>
  <si>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</si>
  <si>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</si>
  <si>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</si>
  <si>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</si>
  <si>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</si>
  <si>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</si>
  <si>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</si>
  <si>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</si>
  <si>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</si>
  <si>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</si>
  <si>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</si>
  <si>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</si>
  <si>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</si>
  <si>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</si>
  <si>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</si>
  <si>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</si>
  <si>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</si>
  <si>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</si>
  <si>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</si>
  <si>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</si>
  <si>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</si>
  <si>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</si>
  <si>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</si>
  <si>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</si>
  <si>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</si>
  <si>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</si>
  <si>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</si>
  <si>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</si>
  <si>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</si>
  <si>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</si>
  <si>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</si>
  <si>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</si>
  <si>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</si>
  <si>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</si>
  <si>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</si>
  <si>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</si>
  <si>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</si>
  <si>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</si>
  <si>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</si>
  <si>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</si>
  <si>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</si>
  <si>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</si>
  <si>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</si>
  <si>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</si>
  <si>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</si>
  <si>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</si>
  <si>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</si>
  <si>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</si>
  <si>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</si>
  <si>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</si>
  <si>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</si>
  <si>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</si>
  <si>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</si>
  <si>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</si>
  <si>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</si>
  <si>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</si>
  <si>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</si>
  <si>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</si>
  <si>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</si>
  <si>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</si>
  <si>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</si>
  <si>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</si>
  <si>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</si>
  <si>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</si>
  <si>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</si>
  <si>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</si>
  <si>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</si>
  <si>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</si>
  <si>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</si>
  <si>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</si>
  <si>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</si>
  <si>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</si>
  <si>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</si>
  <si>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</si>
  <si>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</si>
  <si>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</si>
  <si>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</si>
  <si>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</si>
  <si>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</si>
  <si>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</si>
  <si>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</si>
  <si>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</si>
  <si>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</si>
  <si>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</si>
  <si>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</si>
  <si>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</si>
  <si>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</si>
  <si>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</si>
  <si>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</si>
  <si>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</si>
  <si>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</si>
  <si>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</si>
  <si>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</si>
  <si>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</si>
  <si>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</si>
  <si>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</si>
  <si>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</si>
  <si>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</si>
  <si>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</si>
  <si>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</si>
  <si>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</si>
  <si>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</si>
  <si>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</si>
  <si>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</si>
  <si>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</si>
  <si>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</si>
  <si>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</si>
  <si>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</si>
  <si>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</si>
  <si>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</si>
  <si>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</si>
  <si>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</si>
  <si>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</si>
  <si>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</si>
  <si>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</si>
  <si>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</si>
  <si>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</si>
  <si>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</si>
  <si>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</si>
  <si>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</si>
  <si>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</si>
  <si>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</si>
  <si>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</si>
  <si>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</si>
  <si>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</si>
  <si>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</si>
  <si>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</si>
  <si>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</si>
  <si>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</si>
  <si>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</si>
  <si>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</si>
  <si>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</si>
  <si>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</si>
  <si>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</si>
  <si>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</si>
  <si>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</si>
  <si>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</si>
  <si>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</si>
  <si>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</si>
  <si>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</si>
  <si>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</si>
  <si>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</si>
  <si>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</si>
  <si>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</si>
  <si>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</si>
  <si>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</si>
  <si>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</si>
  <si>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</si>
  <si>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</si>
  <si>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</si>
  <si>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</si>
  <si>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</si>
  <si>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</si>
  <si>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</si>
  <si>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</si>
  <si>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</si>
  <si>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</si>
  <si>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</si>
  <si>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</si>
  <si>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</si>
  <si>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</si>
  <si>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</si>
  <si>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</si>
  <si>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</si>
  <si>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</si>
  <si>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</si>
  <si>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</si>
  <si>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</si>
  <si>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</si>
  <si>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</si>
  <si>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</si>
  <si>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</si>
  <si>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</si>
  <si>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</si>
  <si>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</si>
  <si>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</si>
  <si>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</si>
  <si>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</si>
  <si>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</si>
  <si>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</si>
  <si>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</si>
  <si>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</si>
  <si>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</si>
  <si>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</si>
  <si>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</si>
  <si>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</si>
  <si>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</si>
  <si>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</si>
  <si>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</si>
  <si>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</si>
  <si>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</si>
  <si>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</si>
  <si>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</si>
  <si>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</si>
  <si>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</si>
  <si>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</si>
  <si>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</si>
  <si>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</si>
  <si>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</si>
  <si>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</si>
  <si>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</si>
  <si>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</si>
  <si>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</si>
  <si>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</si>
  <si>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</si>
  <si>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</si>
  <si>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</si>
  <si>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</si>
  <si>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</si>
  <si>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</si>
  <si>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</si>
  <si>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</si>
  <si>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</si>
  <si>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</si>
  <si>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</si>
  <si>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</si>
  <si>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</si>
  <si>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</si>
  <si>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</si>
  <si>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</si>
  <si>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</si>
  <si>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Weinheim GmbH</t>
  </si>
  <si>
    <t>Breitwieserweg 5</t>
  </si>
  <si>
    <t>Weinheim</t>
  </si>
  <si>
    <t>Team Netznutzung</t>
  </si>
  <si>
    <t>netznutzung@sww.de</t>
  </si>
  <si>
    <t>06201 106-304</t>
  </si>
  <si>
    <t>Gesamtnetz H-Gas</t>
  </si>
  <si>
    <t>Mannheim/Neuostheim</t>
  </si>
  <si>
    <t>THE0NKH700304000</t>
  </si>
  <si>
    <t>DE_GMK03</t>
  </si>
  <si>
    <t>DE_GHA03</t>
  </si>
  <si>
    <t>DE_GBD03</t>
  </si>
  <si>
    <t>DE_GPD03</t>
  </si>
  <si>
    <t>DE_GKO03</t>
  </si>
  <si>
    <t>DE_GBH03</t>
  </si>
  <si>
    <t>DE_GGA03</t>
  </si>
  <si>
    <t>DE_GBA03</t>
  </si>
  <si>
    <t>DE_GWA03</t>
  </si>
  <si>
    <t>DE_GGB03</t>
  </si>
  <si>
    <t>DE_GHD03</t>
  </si>
  <si>
    <t>DE_GMF03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</si>
</sst>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1" fontId="12" fillId="0" borderId="0" xfId="3" applyNumberFormat="1" applyFont="1" applyFill="1" applyBorder="1" applyAlignment="1" applyProtection="1">
      <alignment vertical="top"/>
      <protection hidden="1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9"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@sww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>
        <v>9870030400004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69469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658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659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2" t="s">
        <v>660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661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Gesamtnetz H-Gas</v>
      </c>
      <c r="E28" s="38"/>
      <c r="F28" s="11"/>
      <c r="G28" s="2"/>
    </row>
    <row r="29" spans="1:15">
      <c r="B29" s="15"/>
      <c r="C29" s="22" t="s">
        <v>393</v>
      </c>
      <c r="D29" s="44" t="s">
        <v>662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8" priority="2">
      <formula>IF(CELL("Zeile",D29)&lt;$D$25+CELL("Zeile",$D$29),1,0)</formula>
    </cfRule>
  </conditionalFormatting>
  <conditionalFormatting sqref="D30:D48">
    <cfRule type="expression" dxfId="57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4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Stadtwerke Weinheim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Gesamtnetz H-Gas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353">
        <f>Netzbetreiber!$D$11</f>
        <v>9870030400004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6" t="s">
        <v>615</v>
      </c>
      <c r="I11" s="276" t="s">
        <v>616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652</v>
      </c>
      <c r="D13" s="42" t="s">
        <v>664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574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612</v>
      </c>
      <c r="D19" s="48" t="s">
        <v>608</v>
      </c>
      <c r="E19" s="15"/>
      <c r="H19" s="272" t="s">
        <v>608</v>
      </c>
      <c r="I19" s="272" t="s">
        <v>609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610</v>
      </c>
      <c r="E20" s="15"/>
      <c r="H20" s="272" t="s">
        <v>611</v>
      </c>
      <c r="I20" s="8" t="s">
        <v>607</v>
      </c>
      <c r="J20" s="8"/>
      <c r="K20" s="8"/>
      <c r="L20" s="273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2" t="s">
        <v>610</v>
      </c>
      <c r="I21" s="272" t="s">
        <v>617</v>
      </c>
      <c r="J21" s="8"/>
      <c r="K21" s="8"/>
      <c r="L21" s="275" t="s">
        <v>618</v>
      </c>
      <c r="M21" s="275" t="s">
        <v>620</v>
      </c>
      <c r="N21" s="275" t="s">
        <v>619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577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621</v>
      </c>
      <c r="D24" s="42" t="s">
        <v>622</v>
      </c>
      <c r="E24" s="15"/>
      <c r="H24" s="308" t="s">
        <v>622</v>
      </c>
      <c r="I24" s="274" t="s">
        <v>623</v>
      </c>
      <c r="J24" s="274" t="s">
        <v>624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625</v>
      </c>
      <c r="I25" s="275" t="s">
        <v>626</v>
      </c>
      <c r="J25" s="275" t="s">
        <v>627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628</v>
      </c>
      <c r="I26" s="275" t="s">
        <v>629</v>
      </c>
      <c r="J26" s="275" t="s">
        <v>630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576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631</v>
      </c>
      <c r="I29" s="275" t="s">
        <v>632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633</v>
      </c>
      <c r="I30" s="272" t="s">
        <v>628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15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548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549</v>
      </c>
      <c r="C37" s="5" t="s">
        <v>364</v>
      </c>
      <c r="D37" s="36">
        <v>500</v>
      </c>
      <c r="E37" s="15" t="s">
        <v>540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9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4" t="s">
        <v>663</v>
      </c>
    </row>
    <row r="46" spans="2:39" ht="18" customHeight="1">
      <c r="C46" s="22" t="s">
        <v>586</v>
      </c>
      <c r="D46" s="44"/>
    </row>
    <row r="47" spans="2:39" ht="18" customHeight="1">
      <c r="C47" s="22" t="s">
        <v>587</v>
      </c>
      <c r="D47" s="44"/>
    </row>
    <row r="48" spans="2:39" ht="18" customHeight="1">
      <c r="C48" s="22" t="s">
        <v>588</v>
      </c>
      <c r="D48" s="44"/>
    </row>
    <row r="49" spans="3:4" ht="18" customHeight="1">
      <c r="C49" s="22" t="s">
        <v>589</v>
      </c>
      <c r="D49" s="44"/>
    </row>
    <row r="50" spans="3:4" ht="18" customHeight="1">
      <c r="C50" s="22" t="s">
        <v>590</v>
      </c>
      <c r="D50" s="44"/>
    </row>
    <row r="51" spans="3:4" ht="18" customHeight="1">
      <c r="C51" s="22" t="s">
        <v>591</v>
      </c>
      <c r="D51" s="44"/>
    </row>
    <row r="52" spans="3:4" ht="18" customHeight="1">
      <c r="C52" s="22" t="s">
        <v>592</v>
      </c>
      <c r="D52" s="44"/>
    </row>
    <row r="53" spans="3:4" ht="18" customHeight="1">
      <c r="C53" s="22" t="s">
        <v>593</v>
      </c>
      <c r="D53" s="44"/>
    </row>
    <row r="54" spans="3:4" ht="18" customHeight="1">
      <c r="C54" s="22" t="s">
        <v>594</v>
      </c>
      <c r="D54" s="44"/>
    </row>
    <row r="55" spans="3:4" ht="18" customHeight="1">
      <c r="C55" s="22" t="s">
        <v>595</v>
      </c>
      <c r="D55" s="44"/>
    </row>
    <row r="56" spans="3:4" ht="18" customHeight="1">
      <c r="C56" s="22" t="s">
        <v>596</v>
      </c>
      <c r="D56" s="44"/>
    </row>
    <row r="57" spans="3:4" ht="18" customHeight="1">
      <c r="C57" s="22" t="s">
        <v>597</v>
      </c>
      <c r="D57" s="44"/>
    </row>
    <row r="58" spans="3:4" ht="18" customHeight="1">
      <c r="C58" s="22" t="s">
        <v>598</v>
      </c>
      <c r="D58" s="44"/>
    </row>
    <row r="59" spans="3:4" ht="18" customHeight="1">
      <c r="C59" s="22" t="s">
        <v>599</v>
      </c>
      <c r="D59" s="44"/>
    </row>
  </sheetData>
  <conditionalFormatting sqref="D13">
    <cfRule type="expression" dxfId="56" priority="20">
      <formula>IF(#REF!="Gaspool",1,0)</formula>
    </cfRule>
  </conditionalFormatting>
  <conditionalFormatting sqref="D45:D59">
    <cfRule type="expression" dxfId="55" priority="16">
      <formula>IF(CELL("Zeile",D45)&lt;$D$43+CELL("Zeile",$D$45),1,0)</formula>
    </cfRule>
  </conditionalFormatting>
  <conditionalFormatting sqref="D46:D59">
    <cfRule type="expression" dxfId="54" priority="15">
      <formula>IF(CELL(D46)&lt;$D$33+27,1,0)</formula>
    </cfRule>
  </conditionalFormatting>
  <conditionalFormatting sqref="D20">
    <cfRule type="expression" dxfId="53" priority="14">
      <formula>IF($D$19=$H$19,1,0)</formula>
    </cfRule>
  </conditionalFormatting>
  <conditionalFormatting sqref="D28">
    <cfRule type="expression" dxfId="52" priority="3">
      <formula>IF($D$15="synthetisch",1,0)</formula>
    </cfRule>
  </conditionalFormatting>
  <conditionalFormatting sqref="D25">
    <cfRule type="expression" dxfId="51" priority="1">
      <formula>IF(AND($D$24=$I$24,$D$23=$H$23),1,0)</formula>
    </cfRule>
  </conditionalFormatting>
  <conditionalFormatting sqref="D23:D25">
    <cfRule type="expression" dxfId="50" priority="4">
      <formula>IF($D$15="analytisch",1,0)</formula>
    </cfRule>
  </conditionalFormatting>
  <conditionalFormatting sqref="D24">
    <cfRule type="expression" dxfId="49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61" zoomScaleNormal="100" workbookViewId="0">
      <selection activeCell="E7" sqref="E7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656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Gesamtnetz H-Gas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353">
        <v>9870030400004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44470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1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 t="str">
        <f>INDEX('SLP-Verfahren'!D45:D59,'SLP-Temp-Gebiet #01'!F10)</f>
        <v>Mannheim/Neuostheim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4" t="s">
        <v>583</v>
      </c>
      <c r="D13" s="354"/>
      <c r="E13" s="354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5" t="s">
        <v>445</v>
      </c>
      <c r="D14" s="355"/>
      <c r="E14" s="89" t="s">
        <v>446</v>
      </c>
      <c r="F14" s="266" t="s">
        <v>85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5" t="s">
        <v>385</v>
      </c>
      <c r="D15" s="355"/>
      <c r="E15" s="89" t="s">
        <v>446</v>
      </c>
      <c r="F15" s="266" t="s">
        <v>71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516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522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517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524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536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502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519</v>
      </c>
      <c r="D24" s="188"/>
      <c r="E24" s="156" t="s">
        <v>663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>
        <v>10729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654</v>
      </c>
      <c r="T26" s="209" t="s">
        <v>655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653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518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525</v>
      </c>
      <c r="D32" s="186" t="s">
        <v>255</v>
      </c>
      <c r="E32" s="287">
        <f>1-SUMPRODUCT(F30:N30,F32:N32)</f>
        <v>0.5333</v>
      </c>
      <c r="F32" s="287">
        <f>ROUND(F33/$D$33,4)</f>
        <v>0.26669999999999999</v>
      </c>
      <c r="G32" s="287">
        <f t="shared" ref="G32:N32" si="3">ROUND(G33/$D$33,4)</f>
        <v>0.1333</v>
      </c>
      <c r="H32" s="287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532</v>
      </c>
      <c r="D33" s="293">
        <f>SUMPRODUCT(E33:N33,E30:N30)</f>
        <v>1.875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604</v>
      </c>
      <c r="D36" s="153" t="s">
        <v>605</v>
      </c>
      <c r="E36" s="156" t="s">
        <v>603</v>
      </c>
      <c r="F36" s="156" t="s">
        <v>603</v>
      </c>
      <c r="G36" s="156" t="s">
        <v>603</v>
      </c>
      <c r="H36" s="156" t="s">
        <v>603</v>
      </c>
      <c r="I36" s="156" t="s">
        <v>603</v>
      </c>
      <c r="J36" s="156" t="s">
        <v>603</v>
      </c>
      <c r="K36" s="156" t="s">
        <v>603</v>
      </c>
      <c r="L36" s="156" t="s">
        <v>603</v>
      </c>
      <c r="M36" s="156" t="s">
        <v>603</v>
      </c>
      <c r="N36" s="156" t="s">
        <v>603</v>
      </c>
      <c r="O36" s="185" t="s">
        <v>142</v>
      </c>
      <c r="Q36" s="211"/>
      <c r="R36" s="67" t="s">
        <v>603</v>
      </c>
      <c r="S36" s="67" t="s">
        <v>606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537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523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529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534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535</v>
      </c>
      <c r="D47" s="201" t="s">
        <v>533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533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578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542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517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524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536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519</v>
      </c>
      <c r="D59" s="188"/>
      <c r="E59" s="156" t="str">
        <f>E24</f>
        <v>Mannheim/Neuostheim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520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>
        <f>E25</f>
        <v>10729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518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525</v>
      </c>
      <c r="D66" s="186" t="s">
        <v>255</v>
      </c>
      <c r="E66" s="287">
        <f>1-SUMPRODUCT(F64:N64,F66:N66)</f>
        <v>0.5333</v>
      </c>
      <c r="F66" s="287">
        <f>ROUND(F67/$D$67,4)</f>
        <v>0.26669999999999999</v>
      </c>
      <c r="G66" s="287">
        <f t="shared" ref="G66:N66" si="12">ROUND(G67/$D$67,4)</f>
        <v>0.1333</v>
      </c>
      <c r="H66" s="287">
        <f t="shared" si="12"/>
        <v>6.6699999999999995E-2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532</v>
      </c>
      <c r="D67" s="186">
        <f>SUMPRODUCT(E67:N67,E64:N64)</f>
        <v>1.875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604</v>
      </c>
      <c r="D70" s="153" t="s">
        <v>605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537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6" t="s">
        <v>579</v>
      </c>
      <c r="D73" s="356"/>
      <c r="E73" s="356"/>
      <c r="F73" s="356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8" priority="28">
      <formula>IF(E$20&lt;=$F$18,1,0)</formula>
    </cfRule>
  </conditionalFormatting>
  <conditionalFormatting sqref="E33:N37">
    <cfRule type="expression" dxfId="47" priority="27">
      <formula>IF(E$31&lt;=$F$29,1,0)</formula>
    </cfRule>
  </conditionalFormatting>
  <conditionalFormatting sqref="E26:N26">
    <cfRule type="expression" dxfId="46" priority="26">
      <formula>IF(E$20&lt;=$F$18,1,0)</formula>
    </cfRule>
  </conditionalFormatting>
  <conditionalFormatting sqref="E26:N26">
    <cfRule type="expression" dxfId="45" priority="25">
      <formula>IF(E$20&lt;=$F$18,1,0)</formula>
    </cfRule>
  </conditionalFormatting>
  <conditionalFormatting sqref="E57:N60">
    <cfRule type="expression" dxfId="44" priority="22">
      <formula>IF(E$55&lt;=$F$53,1,0)</formula>
    </cfRule>
  </conditionalFormatting>
  <conditionalFormatting sqref="E61:N61">
    <cfRule type="expression" dxfId="43" priority="21">
      <formula>IF(E$55&lt;=$F$53,1,0)</formula>
    </cfRule>
  </conditionalFormatting>
  <conditionalFormatting sqref="E67:N69">
    <cfRule type="expression" dxfId="42" priority="15">
      <formula>IF(E$65&lt;=$F$63,1,0)</formula>
    </cfRule>
  </conditionalFormatting>
  <conditionalFormatting sqref="E66:N69 E71:N71">
    <cfRule type="expression" dxfId="41" priority="13">
      <formula>IF(E$65&gt;$F$63,1,0)</formula>
    </cfRule>
  </conditionalFormatting>
  <conditionalFormatting sqref="E57:N61">
    <cfRule type="expression" dxfId="40" priority="12">
      <formula>IF(E$55&gt;$F$53,1,0)</formula>
    </cfRule>
  </conditionalFormatting>
  <conditionalFormatting sqref="E21:N26">
    <cfRule type="expression" dxfId="39" priority="11">
      <formula>IF(E$20&gt;$F$18,1,0)</formula>
    </cfRule>
  </conditionalFormatting>
  <conditionalFormatting sqref="E33:N37">
    <cfRule type="expression" dxfId="38" priority="10">
      <formula>IF(E$31&gt;$F$29,1,0)</formula>
    </cfRule>
  </conditionalFormatting>
  <conditionalFormatting sqref="H11 H8:H9">
    <cfRule type="expression" dxfId="37" priority="9">
      <formula>IF($F$9=1,1,0)</formula>
    </cfRule>
  </conditionalFormatting>
  <conditionalFormatting sqref="E56:N56">
    <cfRule type="expression" dxfId="36" priority="8">
      <formula>IF(E$55&gt;$F$53,1,0)</formula>
    </cfRule>
  </conditionalFormatting>
  <conditionalFormatting sqref="E32:N32">
    <cfRule type="expression" dxfId="35" priority="7">
      <formula>IF(E$31&gt;$F$29,1,0)</formula>
    </cfRule>
  </conditionalFormatting>
  <conditionalFormatting sqref="E71:N71">
    <cfRule type="expression" dxfId="34" priority="6">
      <formula>IF(E$65&lt;=$F$63,1,0)</formula>
    </cfRule>
  </conditionalFormatting>
  <conditionalFormatting sqref="H10">
    <cfRule type="expression" dxfId="33" priority="5">
      <formula>IF($F$9=1,1,0)</formula>
    </cfRule>
  </conditionalFormatting>
  <conditionalFormatting sqref="E70:N70">
    <cfRule type="expression" dxfId="32" priority="2">
      <formula>IF(E$65&lt;=$F$63,1,0)</formula>
    </cfRule>
  </conditionalFormatting>
  <conditionalFormatting sqref="E70:N70">
    <cfRule type="expression" dxfId="31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Gesamtnetz H-Gas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2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4" t="s">
        <v>583</v>
      </c>
      <c r="D13" s="354"/>
      <c r="E13" s="354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5" t="s">
        <v>445</v>
      </c>
      <c r="D14" s="355"/>
      <c r="E14" s="89" t="s">
        <v>446</v>
      </c>
      <c r="F14" s="266" t="s">
        <v>85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5" t="s">
        <v>385</v>
      </c>
      <c r="D15" s="355"/>
      <c r="E15" s="89" t="s">
        <v>446</v>
      </c>
      <c r="F15" s="266" t="s">
        <v>71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516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522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517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524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536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519</v>
      </c>
      <c r="D24" s="188"/>
      <c r="E24" s="156" t="s">
        <v>580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518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525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532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604</v>
      </c>
      <c r="D35" s="153" t="s">
        <v>605</v>
      </c>
      <c r="E35" s="156" t="s">
        <v>603</v>
      </c>
      <c r="F35" s="156" t="s">
        <v>603</v>
      </c>
      <c r="G35" s="156" t="s">
        <v>603</v>
      </c>
      <c r="H35" s="156" t="s">
        <v>603</v>
      </c>
      <c r="I35" s="156" t="s">
        <v>603</v>
      </c>
      <c r="J35" s="156" t="s">
        <v>603</v>
      </c>
      <c r="K35" s="156" t="s">
        <v>603</v>
      </c>
      <c r="L35" s="156" t="s">
        <v>603</v>
      </c>
      <c r="M35" s="156" t="s">
        <v>603</v>
      </c>
      <c r="N35" s="156" t="s">
        <v>603</v>
      </c>
      <c r="O35" s="185" t="s">
        <v>142</v>
      </c>
      <c r="Q35" s="211"/>
      <c r="R35" s="67" t="s">
        <v>603</v>
      </c>
      <c r="S35" s="67" t="s">
        <v>606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537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530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523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528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534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535</v>
      </c>
      <c r="D46" s="201" t="s">
        <v>533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533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578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542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517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524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536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519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520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518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525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532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604</v>
      </c>
      <c r="D69" s="153" t="s">
        <v>605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537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6" t="s">
        <v>579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0" priority="18">
      <formula>IF(E$20&lt;=$F$18,1,0)</formula>
    </cfRule>
  </conditionalFormatting>
  <conditionalFormatting sqref="E32:N36">
    <cfRule type="expression" dxfId="29" priority="17">
      <formula>IF(E$30&lt;=$F$28,1,0)</formula>
    </cfRule>
  </conditionalFormatting>
  <conditionalFormatting sqref="E26:F26">
    <cfRule type="expression" dxfId="28" priority="16">
      <formula>IF(E$20&lt;=$F$18,1,0)</formula>
    </cfRule>
  </conditionalFormatting>
  <conditionalFormatting sqref="E26:N26">
    <cfRule type="expression" dxfId="27" priority="15">
      <formula>IF(E$20&lt;=$F$18,1,0)</formula>
    </cfRule>
  </conditionalFormatting>
  <conditionalFormatting sqref="E56:N59">
    <cfRule type="expression" dxfId="26" priority="14">
      <formula>IF(E$54&lt;=$F$52,1,0)</formula>
    </cfRule>
  </conditionalFormatting>
  <conditionalFormatting sqref="E60:N60">
    <cfRule type="expression" dxfId="25" priority="13">
      <formula>IF(E$54&lt;=$F$52,1,0)</formula>
    </cfRule>
  </conditionalFormatting>
  <conditionalFormatting sqref="E66:N68">
    <cfRule type="expression" dxfId="24" priority="12">
      <formula>IF(E$64&lt;=$F$62,1,0)</formula>
    </cfRule>
  </conditionalFormatting>
  <conditionalFormatting sqref="E65:N68 E70:N70">
    <cfRule type="expression" dxfId="23" priority="11">
      <formula>IF(E$64&gt;$F$62,1,0)</formula>
    </cfRule>
  </conditionalFormatting>
  <conditionalFormatting sqref="E56:N60">
    <cfRule type="expression" dxfId="22" priority="10">
      <formula>IF(E$54&gt;$F$52,1,0)</formula>
    </cfRule>
  </conditionalFormatting>
  <conditionalFormatting sqref="E21:N26">
    <cfRule type="expression" dxfId="21" priority="9">
      <formula>IF(E$20&gt;$F$18,1,0)</formula>
    </cfRule>
  </conditionalFormatting>
  <conditionalFormatting sqref="E32:N36">
    <cfRule type="expression" dxfId="20" priority="8">
      <formula>IF(E$30&gt;$F$28,1,0)</formula>
    </cfRule>
  </conditionalFormatting>
  <conditionalFormatting sqref="H11 H8:H9">
    <cfRule type="expression" dxfId="19" priority="7">
      <formula>IF($F$9=1,1,0)</formula>
    </cfRule>
  </conditionalFormatting>
  <conditionalFormatting sqref="E55:N55">
    <cfRule type="expression" dxfId="18" priority="6">
      <formula>IF(E$54&gt;$F$52,1,0)</formula>
    </cfRule>
  </conditionalFormatting>
  <conditionalFormatting sqref="E31:N31">
    <cfRule type="expression" dxfId="17" priority="5">
      <formula>IF(E$30&gt;$F$28,1,0)</formula>
    </cfRule>
  </conditionalFormatting>
  <conditionalFormatting sqref="E70:N70">
    <cfRule type="expression" dxfId="16" priority="4">
      <formula>IF(E$64&lt;=$F$62,1,0)</formula>
    </cfRule>
  </conditionalFormatting>
  <conditionalFormatting sqref="H10">
    <cfRule type="expression" dxfId="15" priority="3">
      <formula>IF($F$9=1,1,0)</formula>
    </cfRule>
  </conditionalFormatting>
  <conditionalFormatting sqref="E69:N69">
    <cfRule type="expression" dxfId="14" priority="2">
      <formula>IF(E$64&lt;=$F$62,1,0)</formula>
    </cfRule>
  </conditionalFormatting>
  <conditionalFormatting sqref="E69:N69">
    <cfRule type="expression" dxfId="1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7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Stadtwerke Weinheim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Gesamtnetz H-Gas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369">
        <f>Netzbetreiber!$D$11</f>
        <v>9870030400004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44470</v>
      </c>
      <c r="E8" s="130"/>
      <c r="F8" s="130"/>
      <c r="H8" s="128" t="s">
        <v>493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634</v>
      </c>
      <c r="M10" s="150" t="s">
        <v>643</v>
      </c>
      <c r="N10" s="151" t="s">
        <v>644</v>
      </c>
      <c r="O10" s="151" t="s">
        <v>645</v>
      </c>
      <c r="P10" s="152" t="s">
        <v>646</v>
      </c>
      <c r="Q10" s="146" t="s">
        <v>635</v>
      </c>
      <c r="R10" s="136" t="s">
        <v>636</v>
      </c>
      <c r="S10" s="137" t="s">
        <v>637</v>
      </c>
      <c r="T10" s="137" t="s">
        <v>638</v>
      </c>
      <c r="U10" s="137" t="s">
        <v>639</v>
      </c>
      <c r="V10" s="137" t="s">
        <v>640</v>
      </c>
      <c r="W10" s="137" t="s">
        <v>641</v>
      </c>
      <c r="X10" s="138" t="s">
        <v>642</v>
      </c>
      <c r="Y10" s="305" t="s">
        <v>647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4</v>
      </c>
      <c r="F11" s="306" t="str">
        <f>VLOOKUP($E11,'BDEW-Standard'!$B$3:$M$158,F$9,0)</f>
        <v>HK3</v>
      </c>
      <c r="H11" s="167">
        <f>ROUND(VLOOKUP($E11,'BDEW-Standard'!$B$3:$M$158,H$9,0),7)</f>
        <v>0.40409319999999999</v>
      </c>
      <c r="I11" s="167">
        <f>ROUND(VLOOKUP($E11,'BDEW-Standard'!$B$3:$M$158,I$9,0),7)</f>
        <v>-24.439296800000001</v>
      </c>
      <c r="J11" s="167">
        <f>ROUND(VLOOKUP($E11,'BDEW-Standard'!$B$3:$M$158,J$9,0),7)</f>
        <v>6.5718174999999999</v>
      </c>
      <c r="K11" s="167">
        <f>ROUND(VLOOKUP($E11,'BDEW-Standard'!$B$3:$M$158,K$9,0),7)</f>
        <v>0.71077100000000004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1.0561214000512988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302">
        <v>365.12299999999999</v>
      </c>
    </row>
    <row r="12" spans="2:26">
      <c r="B12" s="141">
        <v>1</v>
      </c>
      <c r="C12" s="142" t="str">
        <f t="shared" ref="C12:C41" si="0">$D$6</f>
        <v>Gesamtnetz H-Gas</v>
      </c>
      <c r="D12" s="62" t="s">
        <v>248</v>
      </c>
      <c r="E12" s="165" t="s">
        <v>4</v>
      </c>
      <c r="F12" s="307" t="str">
        <f>VLOOKUP($E12,'BDEW-Standard'!$B$3:$M$94,F$9,0)</f>
        <v>HK3</v>
      </c>
      <c r="H12" s="278">
        <f>ROUND(VLOOKUP($E12,'BDEW-Standard'!$B$3:$M$94,H$9,0),7)</f>
        <v>0.40409319999999999</v>
      </c>
      <c r="I12" s="278">
        <f>ROUND(VLOOKUP($E12,'BDEW-Standard'!$B$3:$M$94,I$9,0),7)</f>
        <v>-24.439296800000001</v>
      </c>
      <c r="J12" s="278">
        <f>ROUND(VLOOKUP($E12,'BDEW-Standard'!$B$3:$M$94,J$9,0),7)</f>
        <v>6.5718174999999999</v>
      </c>
      <c r="K12" s="278">
        <f>ROUND(VLOOKUP($E12,'BDEW-Standard'!$B$3:$M$94,K$9,0),7)</f>
        <v>0.71077100000000004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6" si="1">($H12/(1+($I12/($Q$9-$L12))^$J12)+$K12)+MAX($M12*$Q$9+$N12,$O12*$Q$9+$P12)</f>
        <v>1.0561214000512988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Gesamtnetz H-Gas</v>
      </c>
      <c r="D13" s="62" t="s">
        <v>248</v>
      </c>
      <c r="E13" s="165" t="s">
        <v>665</v>
      </c>
      <c r="F13" s="307" t="str">
        <f>VLOOKUP($E13,'BDEW-Standard'!$B$3:$M$94,F$9,0)</f>
        <v>MK3</v>
      </c>
      <c r="H13" s="278">
        <f>ROUND(VLOOKUP($E13,'BDEW-Standard'!$B$3:$M$94,H$9,0),7)</f>
        <v>2.7882424000000001</v>
      </c>
      <c r="I13" s="278">
        <f>ROUND(VLOOKUP($E13,'BDEW-Standard'!$B$3:$M$94,I$9,0),7)</f>
        <v>-34.880612999999997</v>
      </c>
      <c r="J13" s="278">
        <f>ROUND(VLOOKUP($E13,'BDEW-Standard'!$B$3:$M$94,J$9,0),7)</f>
        <v>6.5951899000000003</v>
      </c>
      <c r="K13" s="278">
        <f>ROUND(VLOOKUP($E13,'BDEW-Standard'!$B$3:$M$94,K$9,0),7)</f>
        <v>5.4032900000000002E-2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1.0622306107520199</v>
      </c>
      <c r="R13" s="281">
        <f>ROUND(VLOOKUP(MID($E13,4,3),'Wochentag F(WT)'!$B$7:$J$22,R$9,0),4)</f>
        <v>1.0699000000000001</v>
      </c>
      <c r="S13" s="281">
        <f>ROUND(VLOOKUP(MID($E13,4,3),'Wochentag F(WT)'!$B$7:$J$22,S$9,0),4)</f>
        <v>1.0365</v>
      </c>
      <c r="T13" s="281">
        <f>ROUND(VLOOKUP(MID($E13,4,3),'Wochentag F(WT)'!$B$7:$J$22,T$9,0),4)</f>
        <v>0.99329999999999996</v>
      </c>
      <c r="U13" s="281">
        <f>ROUND(VLOOKUP(MID($E13,4,3),'Wochentag F(WT)'!$B$7:$J$22,U$9,0),4)</f>
        <v>0.99480000000000002</v>
      </c>
      <c r="V13" s="281">
        <f>ROUND(VLOOKUP(MID($E13,4,3),'Wochentag F(WT)'!$B$7:$J$22,V$9,0),4)</f>
        <v>1.0659000000000001</v>
      </c>
      <c r="W13" s="281">
        <f>ROUND(VLOOKUP(MID($E13,4,3),'Wochentag F(WT)'!$B$7:$J$22,W$9,0),4)</f>
        <v>0.93620000000000003</v>
      </c>
      <c r="X13" s="282">
        <f t="shared" ref="X13:X26" si="2">7-SUM(R13:W13)</f>
        <v>0.90339999999999954</v>
      </c>
      <c r="Y13" s="303"/>
      <c r="Z13" s="212"/>
    </row>
    <row r="14" spans="2:26" s="143" customFormat="1">
      <c r="B14" s="144">
        <v>3</v>
      </c>
      <c r="C14" s="145" t="str">
        <f t="shared" si="0"/>
        <v>Gesamtnetz H-Gas</v>
      </c>
      <c r="D14" s="62" t="s">
        <v>248</v>
      </c>
      <c r="E14" s="165" t="s">
        <v>668</v>
      </c>
      <c r="F14" s="307" t="str">
        <f>VLOOKUP($E14,'BDEW-Standard'!$B$3:$M$94,F$9,0)</f>
        <v>PD3</v>
      </c>
      <c r="H14" s="278">
        <f>ROUND(VLOOKUP($E14,'BDEW-Standard'!$B$3:$M$94,H$9,0),7)</f>
        <v>3.2</v>
      </c>
      <c r="I14" s="278">
        <f>ROUND(VLOOKUP($E14,'BDEW-Standard'!$B$3:$M$94,I$9,0),7)</f>
        <v>-35.799999999999997</v>
      </c>
      <c r="J14" s="278">
        <f>ROUND(VLOOKUP($E14,'BDEW-Standard'!$B$3:$M$94,J$9,0),7)</f>
        <v>8.4</v>
      </c>
      <c r="K14" s="278">
        <f>ROUND(VLOOKUP($E14,'BDEW-Standard'!$B$3:$M$94,K$9,0),7)</f>
        <v>9.3848600000000004E-2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0.99106250024889242</v>
      </c>
      <c r="R14" s="281">
        <f>ROUND(VLOOKUP(MID($E14,4,3),'Wochentag F(WT)'!$B$7:$J$22,R$9,0),4)</f>
        <v>1.0214000000000001</v>
      </c>
      <c r="S14" s="281">
        <f>ROUND(VLOOKUP(MID($E14,4,3),'Wochentag F(WT)'!$B$7:$J$22,S$9,0),4)</f>
        <v>1.0866</v>
      </c>
      <c r="T14" s="281">
        <f>ROUND(VLOOKUP(MID($E14,4,3),'Wochentag F(WT)'!$B$7:$J$22,T$9,0),4)</f>
        <v>1.0720000000000001</v>
      </c>
      <c r="U14" s="281">
        <f>ROUND(VLOOKUP(MID($E14,4,3),'Wochentag F(WT)'!$B$7:$J$22,U$9,0),4)</f>
        <v>1.0557000000000001</v>
      </c>
      <c r="V14" s="281">
        <f>ROUND(VLOOKUP(MID($E14,4,3),'Wochentag F(WT)'!$B$7:$J$22,V$9,0),4)</f>
        <v>1.0117</v>
      </c>
      <c r="W14" s="281">
        <f>ROUND(VLOOKUP(MID($E14,4,3),'Wochentag F(WT)'!$B$7:$J$22,W$9,0),4)</f>
        <v>0.90010000000000001</v>
      </c>
      <c r="X14" s="282">
        <f t="shared" si="2"/>
        <v>0.85249999999999915</v>
      </c>
      <c r="Y14" s="303"/>
      <c r="Z14" s="212"/>
    </row>
    <row r="15" spans="2:26" s="143" customFormat="1">
      <c r="B15" s="144">
        <v>4</v>
      </c>
      <c r="C15" s="145" t="str">
        <f t="shared" si="0"/>
        <v>Gesamtnetz H-Gas</v>
      </c>
      <c r="D15" s="62" t="s">
        <v>248</v>
      </c>
      <c r="E15" s="165" t="s">
        <v>666</v>
      </c>
      <c r="F15" s="307" t="str">
        <f>VLOOKUP($E15,'BDEW-Standard'!$B$3:$M$94,F$9,0)</f>
        <v>HA3</v>
      </c>
      <c r="H15" s="278">
        <f>ROUND(VLOOKUP($E15,'BDEW-Standard'!$B$3:$M$94,H$9,0),7)</f>
        <v>3.5811213999999998</v>
      </c>
      <c r="I15" s="278">
        <f>ROUND(VLOOKUP($E15,'BDEW-Standard'!$B$3:$M$94,I$9,0),7)</f>
        <v>-36.965006500000001</v>
      </c>
      <c r="J15" s="278">
        <f>ROUND(VLOOKUP($E15,'BDEW-Standard'!$B$3:$M$94,J$9,0),7)</f>
        <v>7.2256947</v>
      </c>
      <c r="K15" s="278">
        <f>ROUND(VLOOKUP($E15,'BDEW-Standard'!$B$3:$M$94,K$9,0),7)</f>
        <v>4.4841600000000002E-2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0.97852945357176691</v>
      </c>
      <c r="R15" s="281">
        <f>ROUND(VLOOKUP(MID($E15,4,3),'Wochentag F(WT)'!$B$7:$J$22,R$9,0),4)</f>
        <v>1.0358000000000001</v>
      </c>
      <c r="S15" s="281">
        <f>ROUND(VLOOKUP(MID($E15,4,3),'Wochentag F(WT)'!$B$7:$J$22,S$9,0),4)</f>
        <v>1.0232000000000001</v>
      </c>
      <c r="T15" s="281">
        <f>ROUND(VLOOKUP(MID($E15,4,3),'Wochentag F(WT)'!$B$7:$J$22,T$9,0),4)</f>
        <v>1.0251999999999999</v>
      </c>
      <c r="U15" s="281">
        <f>ROUND(VLOOKUP(MID($E15,4,3),'Wochentag F(WT)'!$B$7:$J$22,U$9,0),4)</f>
        <v>1.0295000000000001</v>
      </c>
      <c r="V15" s="281">
        <f>ROUND(VLOOKUP(MID($E15,4,3),'Wochentag F(WT)'!$B$7:$J$22,V$9,0),4)</f>
        <v>1.0253000000000001</v>
      </c>
      <c r="W15" s="281">
        <f>ROUND(VLOOKUP(MID($E15,4,3),'Wochentag F(WT)'!$B$7:$J$22,W$9,0),4)</f>
        <v>0.96750000000000003</v>
      </c>
      <c r="X15" s="282">
        <f t="shared" si="2"/>
        <v>0.89350000000000041</v>
      </c>
      <c r="Y15" s="303"/>
      <c r="Z15" s="212"/>
    </row>
    <row r="16" spans="2:26" s="143" customFormat="1">
      <c r="B16" s="144">
        <v>5</v>
      </c>
      <c r="C16" s="145" t="str">
        <f t="shared" si="0"/>
        <v>Gesamtnetz H-Gas</v>
      </c>
      <c r="D16" s="62" t="s">
        <v>248</v>
      </c>
      <c r="E16" s="165" t="s">
        <v>667</v>
      </c>
      <c r="F16" s="307" t="str">
        <f>VLOOKUP($E16,'BDEW-Standard'!$B$3:$M$94,F$9,0)</f>
        <v>BD3</v>
      </c>
      <c r="H16" s="278">
        <f>ROUND(VLOOKUP($E16,'BDEW-Standard'!$B$3:$M$94,H$9,0),7)</f>
        <v>2.9177027</v>
      </c>
      <c r="I16" s="278">
        <f>ROUND(VLOOKUP($E16,'BDEW-Standard'!$B$3:$M$94,I$9,0),7)</f>
        <v>-36.179411700000003</v>
      </c>
      <c r="J16" s="278">
        <f>ROUND(VLOOKUP($E16,'BDEW-Standard'!$B$3:$M$94,J$9,0),7)</f>
        <v>5.9265162</v>
      </c>
      <c r="K16" s="278">
        <f>ROUND(VLOOKUP($E16,'BDEW-Standard'!$B$3:$M$94,K$9,0),7)</f>
        <v>0.11519119999999999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1.0656106174494469</v>
      </c>
      <c r="R16" s="281">
        <f>ROUND(VLOOKUP(MID($E16,4,3),'Wochentag F(WT)'!$B$7:$J$22,R$9,0),4)</f>
        <v>1.1052</v>
      </c>
      <c r="S16" s="281">
        <f>ROUND(VLOOKUP(MID($E16,4,3),'Wochentag F(WT)'!$B$7:$J$22,S$9,0),4)</f>
        <v>1.0857000000000001</v>
      </c>
      <c r="T16" s="281">
        <f>ROUND(VLOOKUP(MID($E16,4,3),'Wochentag F(WT)'!$B$7:$J$22,T$9,0),4)</f>
        <v>1.0378000000000001</v>
      </c>
      <c r="U16" s="281">
        <f>ROUND(VLOOKUP(MID($E16,4,3),'Wochentag F(WT)'!$B$7:$J$22,U$9,0),4)</f>
        <v>1.0622</v>
      </c>
      <c r="V16" s="281">
        <f>ROUND(VLOOKUP(MID($E16,4,3),'Wochentag F(WT)'!$B$7:$J$22,V$9,0),4)</f>
        <v>1.0266</v>
      </c>
      <c r="W16" s="281">
        <f>ROUND(VLOOKUP(MID($E16,4,3),'Wochentag F(WT)'!$B$7:$J$22,W$9,0),4)</f>
        <v>0.76290000000000002</v>
      </c>
      <c r="X16" s="282">
        <f t="shared" si="2"/>
        <v>0.91959999999999997</v>
      </c>
      <c r="Y16" s="303"/>
      <c r="Z16" s="212"/>
    </row>
    <row r="17" spans="2:26" s="143" customFormat="1">
      <c r="B17" s="144">
        <v>6</v>
      </c>
      <c r="C17" s="145" t="str">
        <f t="shared" si="0"/>
        <v>Gesamtnetz H-Gas</v>
      </c>
      <c r="D17" s="62" t="s">
        <v>248</v>
      </c>
      <c r="E17" s="165" t="s">
        <v>669</v>
      </c>
      <c r="F17" s="307" t="str">
        <f>VLOOKUP($E17,'BDEW-Standard'!$B$3:$M$94,F$9,0)</f>
        <v>KO3</v>
      </c>
      <c r="H17" s="278">
        <f>ROUND(VLOOKUP($E17,'BDEW-Standard'!$B$3:$M$94,H$9,0),7)</f>
        <v>2.7172288</v>
      </c>
      <c r="I17" s="278">
        <f>ROUND(VLOOKUP($E17,'BDEW-Standard'!$B$3:$M$94,I$9,0),7)</f>
        <v>-35.141256300000002</v>
      </c>
      <c r="J17" s="278">
        <f>ROUND(VLOOKUP($E17,'BDEW-Standard'!$B$3:$M$94,J$9,0),7)</f>
        <v>7.1303394999999998</v>
      </c>
      <c r="K17" s="278">
        <f>ROUND(VLOOKUP($E17,'BDEW-Standard'!$B$3:$M$94,K$9,0),7)</f>
        <v>0.14184720000000001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1.0630299199876638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Gesamtnetz H-Gas</v>
      </c>
      <c r="D18" s="62" t="s">
        <v>248</v>
      </c>
      <c r="E18" s="165" t="s">
        <v>670</v>
      </c>
      <c r="F18" s="307" t="str">
        <f>VLOOKUP($E18,'BDEW-Standard'!$B$3:$M$94,F$9,0)</f>
        <v>BH3</v>
      </c>
      <c r="H18" s="278">
        <f>ROUND(VLOOKUP($E18,'BDEW-Standard'!$B$3:$M$94,H$9,0),7)</f>
        <v>2.0102471999999998</v>
      </c>
      <c r="I18" s="278">
        <f>ROUND(VLOOKUP($E18,'BDEW-Standard'!$B$3:$M$94,I$9,0),7)</f>
        <v>-35.253212400000002</v>
      </c>
      <c r="J18" s="278">
        <f>ROUND(VLOOKUP($E18,'BDEW-Standard'!$B$3:$M$94,J$9,0),7)</f>
        <v>6.1544406</v>
      </c>
      <c r="K18" s="278">
        <f>ROUND(VLOOKUP($E18,'BDEW-Standard'!$B$3:$M$94,K$9,0),7)</f>
        <v>0.32947409999999999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1.0436896084076008</v>
      </c>
      <c r="R18" s="281">
        <f>ROUND(VLOOKUP(MID($E18,4,3),'Wochentag F(WT)'!$B$7:$J$22,R$9,0),4)</f>
        <v>0.97670000000000001</v>
      </c>
      <c r="S18" s="281">
        <f>ROUND(VLOOKUP(MID($E18,4,3),'Wochentag F(WT)'!$B$7:$J$22,S$9,0),4)</f>
        <v>1.0388999999999999</v>
      </c>
      <c r="T18" s="281">
        <f>ROUND(VLOOKUP(MID($E18,4,3),'Wochentag F(WT)'!$B$7:$J$22,T$9,0),4)</f>
        <v>1.0027999999999999</v>
      </c>
      <c r="U18" s="281">
        <f>ROUND(VLOOKUP(MID($E18,4,3),'Wochentag F(WT)'!$B$7:$J$22,U$9,0),4)</f>
        <v>1.0162</v>
      </c>
      <c r="V18" s="281">
        <f>ROUND(VLOOKUP(MID($E18,4,3),'Wochentag F(WT)'!$B$7:$J$22,V$9,0),4)</f>
        <v>1.0024</v>
      </c>
      <c r="W18" s="281">
        <f>ROUND(VLOOKUP(MID($E18,4,3),'Wochentag F(WT)'!$B$7:$J$22,W$9,0),4)</f>
        <v>1.0043</v>
      </c>
      <c r="X18" s="282">
        <f t="shared" si="2"/>
        <v>0.95870000000000122</v>
      </c>
      <c r="Y18" s="303"/>
      <c r="Z18" s="212"/>
    </row>
    <row r="19" spans="2:26" s="143" customFormat="1">
      <c r="B19" s="144">
        <v>8</v>
      </c>
      <c r="C19" s="145" t="str">
        <f t="shared" si="0"/>
        <v>Gesamtnetz H-Gas</v>
      </c>
      <c r="D19" s="62" t="s">
        <v>248</v>
      </c>
      <c r="E19" s="165" t="s">
        <v>671</v>
      </c>
      <c r="F19" s="307" t="str">
        <f>VLOOKUP($E19,'BDEW-Standard'!$B$3:$M$94,F$9,0)</f>
        <v>GA3</v>
      </c>
      <c r="H19" s="278">
        <f>ROUND(VLOOKUP($E19,'BDEW-Standard'!$B$3:$M$94,H$9,0),7)</f>
        <v>2.2850164999999998</v>
      </c>
      <c r="I19" s="278">
        <f>ROUND(VLOOKUP($E19,'BDEW-Standard'!$B$3:$M$94,I$9,0),7)</f>
        <v>-36.287858399999998</v>
      </c>
      <c r="J19" s="278">
        <f>ROUND(VLOOKUP($E19,'BDEW-Standard'!$B$3:$M$94,J$9,0),7)</f>
        <v>6.5885125999999996</v>
      </c>
      <c r="K19" s="278">
        <f>ROUND(VLOOKUP($E19,'BDEW-Standard'!$B$3:$M$94,K$9,0),7)</f>
        <v>0.31505349999999999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1.0096183914256316</v>
      </c>
      <c r="R19" s="281">
        <f>ROUND(VLOOKUP(MID($E19,4,3),'Wochentag F(WT)'!$B$7:$J$22,R$9,0),4)</f>
        <v>0.93220000000000003</v>
      </c>
      <c r="S19" s="281">
        <f>ROUND(VLOOKUP(MID($E19,4,3),'Wochentag F(WT)'!$B$7:$J$22,S$9,0),4)</f>
        <v>0.98939999999999995</v>
      </c>
      <c r="T19" s="281">
        <f>ROUND(VLOOKUP(MID($E19,4,3),'Wochentag F(WT)'!$B$7:$J$22,T$9,0),4)</f>
        <v>1.0033000000000001</v>
      </c>
      <c r="U19" s="281">
        <f>ROUND(VLOOKUP(MID($E19,4,3),'Wochentag F(WT)'!$B$7:$J$22,U$9,0),4)</f>
        <v>1.0108999999999999</v>
      </c>
      <c r="V19" s="281">
        <f>ROUND(VLOOKUP(MID($E19,4,3),'Wochentag F(WT)'!$B$7:$J$22,V$9,0),4)</f>
        <v>1.018</v>
      </c>
      <c r="W19" s="281">
        <f>ROUND(VLOOKUP(MID($E19,4,3),'Wochentag F(WT)'!$B$7:$J$22,W$9,0),4)</f>
        <v>1.0356000000000001</v>
      </c>
      <c r="X19" s="282">
        <f t="shared" si="2"/>
        <v>1.0106000000000002</v>
      </c>
      <c r="Y19" s="303"/>
      <c r="Z19" s="212"/>
    </row>
    <row r="20" spans="2:26" s="143" customFormat="1">
      <c r="B20" s="144">
        <v>9</v>
      </c>
      <c r="C20" s="145" t="str">
        <f t="shared" si="0"/>
        <v>Gesamtnetz H-Gas</v>
      </c>
      <c r="D20" s="62" t="s">
        <v>248</v>
      </c>
      <c r="E20" s="165" t="s">
        <v>672</v>
      </c>
      <c r="F20" s="307" t="str">
        <f>VLOOKUP($E20,'BDEW-Standard'!$B$3:$M$94,F$9,0)</f>
        <v>BA3</v>
      </c>
      <c r="H20" s="278">
        <f>ROUND(VLOOKUP($E20,'BDEW-Standard'!$B$3:$M$94,H$9,0),7)</f>
        <v>0.62619619999999998</v>
      </c>
      <c r="I20" s="278">
        <f>ROUND(VLOOKUP($E20,'BDEW-Standard'!$B$3:$M$94,I$9,0),7)</f>
        <v>-33</v>
      </c>
      <c r="J20" s="278">
        <f>ROUND(VLOOKUP($E20,'BDEW-Standard'!$B$3:$M$94,J$9,0),7)</f>
        <v>5.7212303000000002</v>
      </c>
      <c r="K20" s="278">
        <f>ROUND(VLOOKUP($E20,'BDEW-Standard'!$B$3:$M$94,K$9,0),7)</f>
        <v>0.78556550000000003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1.0711738317583412</v>
      </c>
      <c r="R20" s="281">
        <f>ROUND(VLOOKUP(MID($E20,4,3),'Wochentag F(WT)'!$B$7:$J$22,R$9,0),4)</f>
        <v>1.0848</v>
      </c>
      <c r="S20" s="281">
        <f>ROUND(VLOOKUP(MID($E20,4,3),'Wochentag F(WT)'!$B$7:$J$22,S$9,0),4)</f>
        <v>1.1211</v>
      </c>
      <c r="T20" s="281">
        <f>ROUND(VLOOKUP(MID($E20,4,3),'Wochentag F(WT)'!$B$7:$J$22,T$9,0),4)</f>
        <v>1.0769</v>
      </c>
      <c r="U20" s="281">
        <f>ROUND(VLOOKUP(MID($E20,4,3),'Wochentag F(WT)'!$B$7:$J$22,U$9,0),4)</f>
        <v>1.1353</v>
      </c>
      <c r="V20" s="281">
        <f>ROUND(VLOOKUP(MID($E20,4,3),'Wochentag F(WT)'!$B$7:$J$22,V$9,0),4)</f>
        <v>1.1402000000000001</v>
      </c>
      <c r="W20" s="281">
        <f>ROUND(VLOOKUP(MID($E20,4,3),'Wochentag F(WT)'!$B$7:$J$22,W$9,0),4)</f>
        <v>0.48520000000000002</v>
      </c>
      <c r="X20" s="282">
        <f t="shared" si="2"/>
        <v>0.95650000000000013</v>
      </c>
      <c r="Y20" s="303"/>
      <c r="Z20" s="212"/>
    </row>
    <row r="21" spans="2:26" s="143" customFormat="1">
      <c r="B21" s="144">
        <v>10</v>
      </c>
      <c r="C21" s="145" t="str">
        <f t="shared" si="0"/>
        <v>Gesamtnetz H-Gas</v>
      </c>
      <c r="D21" s="62" t="s">
        <v>248</v>
      </c>
      <c r="E21" s="165" t="s">
        <v>673</v>
      </c>
      <c r="F21" s="307" t="str">
        <f>VLOOKUP($E21,'BDEW-Standard'!$B$3:$M$94,F$9,0)</f>
        <v>WA3</v>
      </c>
      <c r="H21" s="278">
        <f>ROUND(VLOOKUP($E21,'BDEW-Standard'!$B$3:$M$94,H$9,0),7)</f>
        <v>0.76572899999999999</v>
      </c>
      <c r="I21" s="278">
        <f>ROUND(VLOOKUP($E21,'BDEW-Standard'!$B$3:$M$94,I$9,0),7)</f>
        <v>-36.023791199999998</v>
      </c>
      <c r="J21" s="278">
        <f>ROUND(VLOOKUP($E21,'BDEW-Standard'!$B$3:$M$94,J$9,0),7)</f>
        <v>4.8662747</v>
      </c>
      <c r="K21" s="278">
        <f>ROUND(VLOOKUP($E21,'BDEW-Standard'!$B$3:$M$94,K$9,0),7)</f>
        <v>0.80494250000000001</v>
      </c>
      <c r="L21" s="279">
        <f>ROUND(VLOOKUP($E21,'BDEW-Standard'!$B$3:$M$94,L$9,0),1)</f>
        <v>40</v>
      </c>
      <c r="M21" s="278">
        <f>ROUND(VLOOKUP($E21,'BDEW-Standard'!$B$3:$M$94,M$9,0),7)</f>
        <v>0</v>
      </c>
      <c r="N21" s="278">
        <f>ROUND(VLOOKUP($E21,'BDEW-Standard'!$B$3:$M$94,N$9,0),7)</f>
        <v>0</v>
      </c>
      <c r="O21" s="278">
        <f>ROUND(VLOOKUP($E21,'BDEW-Standard'!$B$3:$M$94,O$9,0),7)</f>
        <v>0</v>
      </c>
      <c r="P21" s="278">
        <f>ROUND(VLOOKUP($E21,'BDEW-Standard'!$B$3:$M$94,P$9,0),7)</f>
        <v>0</v>
      </c>
      <c r="Q21" s="280">
        <f t="shared" si="1"/>
        <v>1.0804258319686442</v>
      </c>
      <c r="R21" s="281">
        <f>ROUND(VLOOKUP(MID($E21,4,3),'Wochentag F(WT)'!$B$7:$J$22,R$9,0),4)</f>
        <v>1.2457</v>
      </c>
      <c r="S21" s="281">
        <f>ROUND(VLOOKUP(MID($E21,4,3),'Wochentag F(WT)'!$B$7:$J$22,S$9,0),4)</f>
        <v>1.2615000000000001</v>
      </c>
      <c r="T21" s="281">
        <f>ROUND(VLOOKUP(MID($E21,4,3),'Wochentag F(WT)'!$B$7:$J$22,T$9,0),4)</f>
        <v>1.2706999999999999</v>
      </c>
      <c r="U21" s="281">
        <f>ROUND(VLOOKUP(MID($E21,4,3),'Wochentag F(WT)'!$B$7:$J$22,U$9,0),4)</f>
        <v>1.2430000000000001</v>
      </c>
      <c r="V21" s="281">
        <f>ROUND(VLOOKUP(MID($E21,4,3),'Wochentag F(WT)'!$B$7:$J$22,V$9,0),4)</f>
        <v>1.1275999999999999</v>
      </c>
      <c r="W21" s="281">
        <f>ROUND(VLOOKUP(MID($E21,4,3),'Wochentag F(WT)'!$B$7:$J$22,W$9,0),4)</f>
        <v>0.38769999999999999</v>
      </c>
      <c r="X21" s="282">
        <f t="shared" si="2"/>
        <v>0.46379999999999999</v>
      </c>
      <c r="Y21" s="303"/>
      <c r="Z21" s="212"/>
    </row>
    <row r="22" spans="2:26" s="143" customFormat="1">
      <c r="B22" s="144">
        <v>11</v>
      </c>
      <c r="C22" s="145" t="str">
        <f t="shared" si="0"/>
        <v>Gesamtnetz H-Gas</v>
      </c>
      <c r="D22" s="62" t="s">
        <v>248</v>
      </c>
      <c r="E22" s="165" t="s">
        <v>674</v>
      </c>
      <c r="F22" s="307" t="str">
        <f>VLOOKUP($E22,'BDEW-Standard'!$B$3:$M$94,F$9,0)</f>
        <v>GB3</v>
      </c>
      <c r="H22" s="278">
        <f>ROUND(VLOOKUP($E22,'BDEW-Standard'!$B$3:$M$94,H$9,0),7)</f>
        <v>3.2572741999999999</v>
      </c>
      <c r="I22" s="278">
        <f>ROUND(VLOOKUP($E22,'BDEW-Standard'!$B$3:$M$94,I$9,0),7)</f>
        <v>-37.5</v>
      </c>
      <c r="J22" s="278">
        <f>ROUND(VLOOKUP($E22,'BDEW-Standard'!$B$3:$M$94,J$9,0),7)</f>
        <v>6.3462148000000003</v>
      </c>
      <c r="K22" s="278">
        <f>ROUND(VLOOKUP($E22,'BDEW-Standard'!$B$3:$M$94,K$9,0),7)</f>
        <v>8.6622699999999997E-2</v>
      </c>
      <c r="L22" s="279">
        <f>ROUND(VLOOKUP($E22,'BDEW-Standard'!$B$3:$M$94,L$9,0),1)</f>
        <v>40</v>
      </c>
      <c r="M22" s="278">
        <f>ROUND(VLOOKUP($E22,'BDEW-Standard'!$B$3:$M$94,M$9,0),7)</f>
        <v>0</v>
      </c>
      <c r="N22" s="278">
        <f>ROUND(VLOOKUP($E22,'BDEW-Standard'!$B$3:$M$94,N$9,0),7)</f>
        <v>0</v>
      </c>
      <c r="O22" s="278">
        <f>ROUND(VLOOKUP($E22,'BDEW-Standard'!$B$3:$M$94,O$9,0),7)</f>
        <v>0</v>
      </c>
      <c r="P22" s="278">
        <f>ROUND(VLOOKUP($E22,'BDEW-Standard'!$B$3:$M$94,P$9,0),7)</f>
        <v>0</v>
      </c>
      <c r="Q22" s="280">
        <f t="shared" si="1"/>
        <v>0.9584556323619029</v>
      </c>
      <c r="R22" s="281">
        <f>ROUND(VLOOKUP(MID($E22,4,3),'Wochentag F(WT)'!$B$7:$J$22,R$9,0),4)</f>
        <v>0.98970000000000002</v>
      </c>
      <c r="S22" s="281">
        <f>ROUND(VLOOKUP(MID($E22,4,3),'Wochentag F(WT)'!$B$7:$J$22,S$9,0),4)</f>
        <v>0.9627</v>
      </c>
      <c r="T22" s="281">
        <f>ROUND(VLOOKUP(MID($E22,4,3),'Wochentag F(WT)'!$B$7:$J$22,T$9,0),4)</f>
        <v>1.0507</v>
      </c>
      <c r="U22" s="281">
        <f>ROUND(VLOOKUP(MID($E22,4,3),'Wochentag F(WT)'!$B$7:$J$22,U$9,0),4)</f>
        <v>1.0551999999999999</v>
      </c>
      <c r="V22" s="281">
        <f>ROUND(VLOOKUP(MID($E22,4,3),'Wochentag F(WT)'!$B$7:$J$22,V$9,0),4)</f>
        <v>1.0297000000000001</v>
      </c>
      <c r="W22" s="281">
        <f>ROUND(VLOOKUP(MID($E22,4,3),'Wochentag F(WT)'!$B$7:$J$22,W$9,0),4)</f>
        <v>0.97670000000000001</v>
      </c>
      <c r="X22" s="282">
        <f t="shared" si="2"/>
        <v>0.9352999999999998</v>
      </c>
      <c r="Y22" s="303"/>
      <c r="Z22" s="212"/>
    </row>
    <row r="23" spans="2:26" s="143" customFormat="1">
      <c r="B23" s="144">
        <v>12</v>
      </c>
      <c r="C23" s="145" t="str">
        <f t="shared" si="0"/>
        <v>Gesamtnetz H-Gas</v>
      </c>
      <c r="D23" s="62" t="s">
        <v>248</v>
      </c>
      <c r="E23" s="165" t="s">
        <v>676</v>
      </c>
      <c r="F23" s="307" t="str">
        <f>VLOOKUP($E23,'BDEW-Standard'!$B$3:$M$94,F$9,0)</f>
        <v>MF3</v>
      </c>
      <c r="H23" s="278">
        <f>ROUND(VLOOKUP($E23,'BDEW-Standard'!$B$3:$M$94,H$9,0),7)</f>
        <v>2.3877617999999998</v>
      </c>
      <c r="I23" s="278">
        <f>ROUND(VLOOKUP($E23,'BDEW-Standard'!$B$3:$M$94,I$9,0),7)</f>
        <v>-34.721360500000003</v>
      </c>
      <c r="J23" s="278">
        <f>ROUND(VLOOKUP($E23,'BDEW-Standard'!$B$3:$M$94,J$9,0),7)</f>
        <v>5.8164303999999998</v>
      </c>
      <c r="K23" s="278">
        <f>ROUND(VLOOKUP($E23,'BDEW-Standard'!$B$3:$M$94,K$9,0),7)</f>
        <v>0.12081939999999999</v>
      </c>
      <c r="L23" s="279">
        <f>ROUND(VLOOKUP($E23,'BDEW-Standard'!$B$3:$M$94,L$9,0),1)</f>
        <v>40</v>
      </c>
      <c r="M23" s="278">
        <f>ROUND(VLOOKUP($E23,'BDEW-Standard'!$B$3:$M$94,M$9,0),7)</f>
        <v>0</v>
      </c>
      <c r="N23" s="278">
        <f>ROUND(VLOOKUP($E23,'BDEW-Standard'!$B$3:$M$94,N$9,0),7)</f>
        <v>0</v>
      </c>
      <c r="O23" s="278">
        <f>ROUND(VLOOKUP($E23,'BDEW-Standard'!$B$3:$M$94,O$9,0),7)</f>
        <v>0</v>
      </c>
      <c r="P23" s="278">
        <f>ROUND(VLOOKUP($E23,'BDEW-Standard'!$B$3:$M$94,P$9,0),7)</f>
        <v>0</v>
      </c>
      <c r="Q23" s="280">
        <f t="shared" si="1"/>
        <v>1.0365184142102302</v>
      </c>
      <c r="R23" s="281">
        <f>ROUND(VLOOKUP(MID($E23,4,3),'Wochentag F(WT)'!$B$7:$J$22,R$9,0),4)</f>
        <v>1.0354000000000001</v>
      </c>
      <c r="S23" s="281">
        <f>ROUND(VLOOKUP(MID($E23,4,3),'Wochentag F(WT)'!$B$7:$J$22,S$9,0),4)</f>
        <v>1.0523</v>
      </c>
      <c r="T23" s="281">
        <f>ROUND(VLOOKUP(MID($E23,4,3),'Wochentag F(WT)'!$B$7:$J$22,T$9,0),4)</f>
        <v>1.0448999999999999</v>
      </c>
      <c r="U23" s="281">
        <f>ROUND(VLOOKUP(MID($E23,4,3),'Wochentag F(WT)'!$B$7:$J$22,U$9,0),4)</f>
        <v>1.0494000000000001</v>
      </c>
      <c r="V23" s="281">
        <f>ROUND(VLOOKUP(MID($E23,4,3),'Wochentag F(WT)'!$B$7:$J$22,V$9,0),4)</f>
        <v>0.98850000000000005</v>
      </c>
      <c r="W23" s="281">
        <f>ROUND(VLOOKUP(MID($E23,4,3),'Wochentag F(WT)'!$B$7:$J$22,W$9,0),4)</f>
        <v>0.88600000000000001</v>
      </c>
      <c r="X23" s="282">
        <f t="shared" si="2"/>
        <v>0.94349999999999934</v>
      </c>
      <c r="Y23" s="303"/>
      <c r="Z23" s="212"/>
    </row>
    <row r="24" spans="2:26" s="143" customFormat="1">
      <c r="B24" s="144">
        <v>13</v>
      </c>
      <c r="C24" s="145" t="str">
        <f t="shared" si="0"/>
        <v>Gesamtnetz H-Gas</v>
      </c>
      <c r="D24" s="62" t="s">
        <v>248</v>
      </c>
      <c r="E24" s="165" t="s">
        <v>675</v>
      </c>
      <c r="F24" s="307" t="str">
        <f>VLOOKUP($E24,'BDEW-Standard'!$B$3:$M$94,F$9,0)</f>
        <v>HD3</v>
      </c>
      <c r="H24" s="278">
        <f>ROUND(VLOOKUP($E24,'BDEW-Standard'!$B$3:$M$94,H$9,0),7)</f>
        <v>2.5792510000000002</v>
      </c>
      <c r="I24" s="278">
        <f>ROUND(VLOOKUP($E24,'BDEW-Standard'!$B$3:$M$94,I$9,0),7)</f>
        <v>-35.681614400000001</v>
      </c>
      <c r="J24" s="278">
        <f>ROUND(VLOOKUP($E24,'BDEW-Standard'!$B$3:$M$94,J$9,0),7)</f>
        <v>6.6857975999999999</v>
      </c>
      <c r="K24" s="278">
        <f>ROUND(VLOOKUP($E24,'BDEW-Standard'!$B$3:$M$94,K$9,0),7)</f>
        <v>0.19955410000000001</v>
      </c>
      <c r="L24" s="279">
        <f>ROUND(VLOOKUP($E24,'BDEW-Standard'!$B$3:$M$94,L$9,0),1)</f>
        <v>40</v>
      </c>
      <c r="M24" s="278">
        <f>ROUND(VLOOKUP($E24,'BDEW-Standard'!$B$3:$M$94,M$9,0),7)</f>
        <v>0</v>
      </c>
      <c r="N24" s="278">
        <f>ROUND(VLOOKUP($E24,'BDEW-Standard'!$B$3:$M$94,N$9,0),7)</f>
        <v>0</v>
      </c>
      <c r="O24" s="278">
        <f>ROUND(VLOOKUP($E24,'BDEW-Standard'!$B$3:$M$94,O$9,0),7)</f>
        <v>0</v>
      </c>
      <c r="P24" s="278">
        <f>ROUND(VLOOKUP($E24,'BDEW-Standard'!$B$3:$M$94,P$9,0),7)</f>
        <v>0</v>
      </c>
      <c r="Q24" s="280">
        <f t="shared" si="1"/>
        <v>1.0393994293439688</v>
      </c>
      <c r="R24" s="281">
        <f>ROUND(VLOOKUP(MID($E24,4,3),'Wochentag F(WT)'!$B$7:$J$22,R$9,0),4)</f>
        <v>1.03</v>
      </c>
      <c r="S24" s="281">
        <f>ROUND(VLOOKUP(MID($E24,4,3),'Wochentag F(WT)'!$B$7:$J$22,S$9,0),4)</f>
        <v>1.03</v>
      </c>
      <c r="T24" s="281">
        <f>ROUND(VLOOKUP(MID($E24,4,3),'Wochentag F(WT)'!$B$7:$J$22,T$9,0),4)</f>
        <v>1.02</v>
      </c>
      <c r="U24" s="281">
        <f>ROUND(VLOOKUP(MID($E24,4,3),'Wochentag F(WT)'!$B$7:$J$22,U$9,0),4)</f>
        <v>1.03</v>
      </c>
      <c r="V24" s="281">
        <f>ROUND(VLOOKUP(MID($E24,4,3),'Wochentag F(WT)'!$B$7:$J$22,V$9,0),4)</f>
        <v>1.01</v>
      </c>
      <c r="W24" s="281">
        <f>ROUND(VLOOKUP(MID($E24,4,3),'Wochentag F(WT)'!$B$7:$J$22,W$9,0),4)</f>
        <v>0.93</v>
      </c>
      <c r="X24" s="282">
        <f t="shared" si="2"/>
        <v>0.95000000000000018</v>
      </c>
      <c r="Y24" s="303"/>
      <c r="Z24" s="212"/>
    </row>
    <row r="25" spans="2:26" s="143" customFormat="1">
      <c r="B25" s="144">
        <v>14</v>
      </c>
      <c r="C25" s="145" t="str">
        <f t="shared" si="0"/>
        <v>Gesamtnetz H-Gas</v>
      </c>
      <c r="D25" s="62" t="s">
        <v>248</v>
      </c>
      <c r="E25" s="165" t="s">
        <v>34</v>
      </c>
      <c r="F25" s="307" t="s">
        <v>298</v>
      </c>
      <c r="H25" s="278">
        <v>3.0385547000000002</v>
      </c>
      <c r="I25" s="278">
        <v>-37.182990799999999</v>
      </c>
      <c r="J25" s="278">
        <v>5.6644869</v>
      </c>
      <c r="K25" s="278">
        <v>9.5584500000000003E-2</v>
      </c>
      <c r="L25" s="279">
        <v>40</v>
      </c>
      <c r="M25" s="278">
        <v>0</v>
      </c>
      <c r="N25" s="278">
        <v>0</v>
      </c>
      <c r="O25" s="278">
        <v>0</v>
      </c>
      <c r="P25" s="278">
        <v>0</v>
      </c>
      <c r="Q25" s="280">
        <v>1.0052189552470467</v>
      </c>
      <c r="R25" s="281">
        <v>1</v>
      </c>
      <c r="S25" s="281">
        <v>1</v>
      </c>
      <c r="T25" s="281">
        <v>1</v>
      </c>
      <c r="U25" s="281">
        <v>1</v>
      </c>
      <c r="V25" s="281">
        <v>1</v>
      </c>
      <c r="W25" s="281">
        <v>1</v>
      </c>
      <c r="X25" s="282">
        <v>1</v>
      </c>
      <c r="Y25" s="303"/>
      <c r="Z25" s="212"/>
    </row>
    <row r="26" spans="2:26" s="143" customFormat="1">
      <c r="B26" s="144">
        <v>15</v>
      </c>
      <c r="C26" s="145" t="str">
        <f t="shared" si="0"/>
        <v>Gesamtnetz H-Gas</v>
      </c>
      <c r="D26" s="62" t="s">
        <v>248</v>
      </c>
      <c r="E26" s="165" t="s">
        <v>42</v>
      </c>
      <c r="F26" s="307" t="s">
        <v>306</v>
      </c>
      <c r="H26" s="278">
        <v>2.3767684</v>
      </c>
      <c r="I26" s="278">
        <v>-34.719233299999999</v>
      </c>
      <c r="J26" s="278">
        <v>5.8332161999999999</v>
      </c>
      <c r="K26" s="278">
        <v>0.1218182</v>
      </c>
      <c r="L26" s="279">
        <v>40</v>
      </c>
      <c r="M26" s="278">
        <v>0</v>
      </c>
      <c r="N26" s="278">
        <v>0</v>
      </c>
      <c r="O26" s="278">
        <v>0</v>
      </c>
      <c r="P26" s="278">
        <v>0</v>
      </c>
      <c r="Q26" s="280">
        <v>1.0327323008737617</v>
      </c>
      <c r="R26" s="281">
        <v>1</v>
      </c>
      <c r="S26" s="281">
        <v>1</v>
      </c>
      <c r="T26" s="281">
        <v>1</v>
      </c>
      <c r="U26" s="281">
        <v>1</v>
      </c>
      <c r="V26" s="281">
        <v>1</v>
      </c>
      <c r="W26" s="281">
        <v>1</v>
      </c>
      <c r="X26" s="282">
        <v>1</v>
      </c>
      <c r="Y26" s="303"/>
      <c r="Z26" s="212"/>
    </row>
    <row r="27" spans="2:26" s="143" customFormat="1">
      <c r="B27" s="144">
        <v>16</v>
      </c>
      <c r="C27" s="145" t="str">
        <f t="shared" si="0"/>
        <v>Gesamtnetz H-Gas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Gesamtnetz H-Gas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Gesamtnetz H-Gas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Gesamtnetz H-Gas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Gesamtnetz H-Gas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Gesamtnetz H-Gas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Gesamtnetz H-Gas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Gesamtnetz H-Gas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Gesamtnetz H-Gas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Gesamtnetz H-Gas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Gesamtnetz H-Gas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Gesamtnetz H-Gas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Gesamtnetz H-Gas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Gesamtnetz H-Gas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Gesamtnetz H-Gas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2" priority="9">
      <formula>ISERROR(F11)</formula>
    </cfRule>
  </conditionalFormatting>
  <conditionalFormatting sqref="E12:F41 Y12:Y41">
    <cfRule type="duplicateValues" dxfId="11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544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19" zoomScale="80" zoomScaleNormal="80" workbookViewId="0">
      <selection activeCell="U10" sqref="U1:U1048576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Stadtwerke Weinheim GmbH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Gesamtnetz H-Gas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>
        <f>Netzbetreiber!$D$11</f>
        <v>9870030400004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7" t="s">
        <v>455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2" t="s">
        <v>582</v>
      </c>
      <c r="C10" s="363"/>
      <c r="D10" s="94">
        <v>2</v>
      </c>
      <c r="E10" s="95" t="str">
        <f>IF(ISERROR(HLOOKUP(E$11,$M$9:$AD$35,$D10,0)),"",HLOOKUP(E$11,$M$9:$AD$35,$D10,0))</f>
        <v/>
      </c>
      <c r="F10" s="360" t="s">
        <v>395</v>
      </c>
      <c r="G10" s="360"/>
      <c r="H10" s="360"/>
      <c r="I10" s="360"/>
      <c r="J10" s="360"/>
      <c r="K10" s="360"/>
      <c r="L10" s="361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650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648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649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7" priority="9">
      <formula>IF(E$11="NB",1,0)</formula>
    </cfRule>
  </conditionalFormatting>
  <conditionalFormatting sqref="F12:L35">
    <cfRule type="expression" dxfId="6" priority="6">
      <formula>IF($E12=1,1,0)</formula>
    </cfRule>
  </conditionalFormatting>
  <conditionalFormatting sqref="M12:AD35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544</v>
      </c>
    </row>
    <row r="2" spans="1:16">
      <c r="A2" s="237"/>
      <c r="B2" s="236" t="s">
        <v>453</v>
      </c>
    </row>
    <row r="3" spans="1:16" ht="20.100000000000001" customHeight="1">
      <c r="A3" s="364" t="s">
        <v>249</v>
      </c>
      <c r="B3" s="238" t="s">
        <v>86</v>
      </c>
      <c r="C3" s="239"/>
      <c r="D3" s="366" t="s">
        <v>454</v>
      </c>
      <c r="E3" s="367"/>
      <c r="F3" s="367"/>
      <c r="G3" s="367"/>
      <c r="H3" s="367"/>
      <c r="I3" s="367"/>
      <c r="J3" s="368"/>
      <c r="K3" s="240"/>
      <c r="L3" s="240"/>
      <c r="M3" s="240"/>
      <c r="N3" s="240"/>
      <c r="O3" s="241"/>
      <c r="P3" s="240"/>
    </row>
    <row r="4" spans="1:16" ht="20.100000000000001" customHeight="1">
      <c r="A4" s="365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Heinz, Anette</cp:lastModifiedBy>
  <cp:lastPrinted>2015-03-20T22:59:10Z</cp:lastPrinted>
  <dcterms:created xsi:type="dcterms:W3CDTF">2015-01-15T05:25:41Z</dcterms:created>
  <dcterms:modified xsi:type="dcterms:W3CDTF">2022-06-23T15:24:38Z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